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45" windowWidth="14955" windowHeight="8865" tabRatio="655" activeTab="1"/>
  </bookViews>
  <sheets>
    <sheet name="说明" sheetId="1" r:id="rId1"/>
    <sheet name="6月明细" sheetId="8" r:id="rId2"/>
    <sheet name="6月缴费单" sheetId="9" r:id="rId3"/>
  </sheets>
  <definedNames>
    <definedName name="_xlnm._FilterDatabase" localSheetId="1" hidden="1">'6月明细'!$A$2:$X$16</definedName>
  </definedNames>
  <calcPr calcId="144525"/>
</workbook>
</file>

<file path=xl/calcChain.xml><?xml version="1.0" encoding="utf-8"?>
<calcChain xmlns="http://schemas.openxmlformats.org/spreadsheetml/2006/main">
  <c r="M16" i="8" l="1"/>
  <c r="M15" i="8"/>
  <c r="M6" i="8"/>
  <c r="M7" i="8"/>
  <c r="M8" i="8"/>
  <c r="M5" i="8"/>
  <c r="K16" i="8"/>
  <c r="K15" i="8"/>
  <c r="K7" i="8"/>
  <c r="K8" i="8"/>
  <c r="K6" i="8"/>
  <c r="K5" i="8"/>
  <c r="Q14" i="8" l="1"/>
  <c r="Q13" i="8"/>
  <c r="W12" i="8"/>
  <c r="I12" i="8"/>
  <c r="G12" i="8" s="1"/>
  <c r="J12" i="8" s="1"/>
  <c r="F12" i="8"/>
  <c r="W11" i="8"/>
  <c r="I11" i="8"/>
  <c r="F11" i="8"/>
  <c r="G11" i="8" s="1"/>
  <c r="J11" i="8" s="1"/>
  <c r="W9" i="8"/>
  <c r="I9" i="8"/>
  <c r="G9" i="8"/>
  <c r="J9" i="8" s="1"/>
  <c r="F9" i="8"/>
  <c r="W13" i="8"/>
  <c r="I13" i="8"/>
  <c r="F13" i="8"/>
  <c r="G13" i="8" s="1"/>
  <c r="J13" i="8" s="1"/>
  <c r="R11" i="8" l="1"/>
  <c r="Q11" i="8"/>
  <c r="P11" i="8"/>
  <c r="X11" i="8" s="1"/>
  <c r="Y11" i="8" s="1"/>
  <c r="T11" i="8"/>
  <c r="T12" i="8"/>
  <c r="R12" i="8"/>
  <c r="Q12" i="8"/>
  <c r="P12" i="8"/>
  <c r="R9" i="8"/>
  <c r="S9" i="8"/>
  <c r="P9" i="8"/>
  <c r="T9" i="8"/>
  <c r="Q9" i="8"/>
  <c r="R13" i="8"/>
  <c r="P13" i="8"/>
  <c r="T13" i="8"/>
  <c r="I14" i="8"/>
  <c r="F14" i="8"/>
  <c r="I8" i="8"/>
  <c r="F8" i="8"/>
  <c r="X13" i="8" l="1"/>
  <c r="Y13" i="8" s="1"/>
  <c r="X9" i="8"/>
  <c r="Y9" i="8" s="1"/>
  <c r="X12" i="8"/>
  <c r="Y12" i="8" s="1"/>
  <c r="G14" i="8"/>
  <c r="G8" i="8"/>
  <c r="J8" i="8" s="1"/>
  <c r="J14" i="8" l="1"/>
  <c r="T14" i="8" s="1"/>
  <c r="R8" i="8"/>
  <c r="N8" i="8"/>
  <c r="Q8" i="8"/>
  <c r="T8" i="8"/>
  <c r="P8" i="8"/>
  <c r="S8" i="8"/>
  <c r="O8" i="8"/>
  <c r="R14" i="8" l="1"/>
  <c r="P14" i="8"/>
  <c r="X14" i="8" s="1"/>
  <c r="W14" i="8"/>
  <c r="X8" i="8"/>
  <c r="Y14" i="8" l="1"/>
  <c r="S16" i="8"/>
  <c r="F5" i="8" l="1"/>
  <c r="F6" i="8"/>
  <c r="F7" i="8"/>
  <c r="F10" i="8"/>
  <c r="F15" i="8"/>
  <c r="F16" i="8"/>
  <c r="I10" i="8"/>
  <c r="I7" i="8"/>
  <c r="C1" i="8"/>
  <c r="B3" i="9" s="1"/>
  <c r="N1" i="8"/>
  <c r="L8" i="8" s="1"/>
  <c r="W8" i="8" s="1"/>
  <c r="Y8" i="8" s="1"/>
  <c r="I5" i="8"/>
  <c r="I6" i="8"/>
  <c r="I15" i="8"/>
  <c r="I16" i="8"/>
  <c r="U17" i="8"/>
  <c r="V17" i="8"/>
  <c r="E3" i="9"/>
  <c r="B6" i="9"/>
  <c r="C6" i="9" s="1"/>
  <c r="C7" i="9" s="1"/>
  <c r="C8" i="9" s="1"/>
  <c r="C9" i="9" s="1"/>
  <c r="C10" i="9" s="1"/>
  <c r="C11" i="9" s="1"/>
  <c r="C12" i="9" s="1"/>
  <c r="D6" i="9"/>
  <c r="D7" i="9" s="1"/>
  <c r="D8" i="9" s="1"/>
  <c r="D9" i="9" s="1"/>
  <c r="D10" i="9" s="1"/>
  <c r="G6" i="9"/>
  <c r="G14" i="9" s="1"/>
  <c r="H6" i="9"/>
  <c r="H14" i="9" s="1"/>
  <c r="I11" i="9"/>
  <c r="I12" i="9"/>
  <c r="B7" i="9" l="1"/>
  <c r="B8" i="9" s="1"/>
  <c r="B9" i="9" s="1"/>
  <c r="B10" i="9" s="1"/>
  <c r="B11" i="9" s="1"/>
  <c r="B12" i="9" s="1"/>
  <c r="G5" i="8"/>
  <c r="J5" i="8" s="1"/>
  <c r="G7" i="8"/>
  <c r="J7" i="8" s="1"/>
  <c r="G16" i="8"/>
  <c r="J16" i="8" s="1"/>
  <c r="G15" i="8"/>
  <c r="J15" i="8" s="1"/>
  <c r="G10" i="8"/>
  <c r="J10" i="8" s="1"/>
  <c r="G6" i="8"/>
  <c r="J6" i="8" s="1"/>
  <c r="P10" i="8" l="1"/>
  <c r="Q10" i="8"/>
  <c r="N5" i="8"/>
  <c r="S5" i="8"/>
  <c r="P16" i="8"/>
  <c r="T16" i="8"/>
  <c r="Q16" i="8"/>
  <c r="R16" i="8"/>
  <c r="N16" i="8"/>
  <c r="L16" i="8"/>
  <c r="O16" i="8"/>
  <c r="N7" i="8"/>
  <c r="S7" i="8"/>
  <c r="L7" i="8"/>
  <c r="O7" i="8"/>
  <c r="Q15" i="8"/>
  <c r="R15" i="8"/>
  <c r="S15" i="8"/>
  <c r="P15" i="8"/>
  <c r="T15" i="8"/>
  <c r="N15" i="8"/>
  <c r="L15" i="8"/>
  <c r="O15" i="8"/>
  <c r="S6" i="8"/>
  <c r="N6" i="8"/>
  <c r="L6" i="8"/>
  <c r="O6" i="8"/>
  <c r="S10" i="8"/>
  <c r="T6" i="8"/>
  <c r="P6" i="8"/>
  <c r="R6" i="8"/>
  <c r="Q6" i="8"/>
  <c r="P5" i="8"/>
  <c r="T10" i="8"/>
  <c r="T5" i="8"/>
  <c r="Q5" i="8"/>
  <c r="R10" i="8"/>
  <c r="T7" i="8"/>
  <c r="P7" i="8"/>
  <c r="R7" i="8"/>
  <c r="Q7" i="8"/>
  <c r="O5" i="8"/>
  <c r="L5" i="8"/>
  <c r="R5" i="8"/>
  <c r="X6" i="8" l="1"/>
  <c r="X10" i="8"/>
  <c r="W16" i="8"/>
  <c r="W6" i="8"/>
  <c r="X15" i="8"/>
  <c r="W15" i="8"/>
  <c r="X5" i="8"/>
  <c r="W5" i="8"/>
  <c r="W10" i="8"/>
  <c r="X7" i="8"/>
  <c r="P17" i="8"/>
  <c r="N17" i="8"/>
  <c r="W7" i="8"/>
  <c r="X16" i="8"/>
  <c r="S17" i="8"/>
  <c r="O17" i="8"/>
  <c r="R17" i="8"/>
  <c r="T17" i="8"/>
  <c r="F10" i="9" s="1"/>
  <c r="Q17" i="8"/>
  <c r="L17" i="8"/>
  <c r="M17" i="8"/>
  <c r="K17" i="8"/>
  <c r="F7" i="9" l="1"/>
  <c r="E8" i="9"/>
  <c r="E10" i="9"/>
  <c r="E6" i="9"/>
  <c r="E9" i="9"/>
  <c r="F9" i="9"/>
  <c r="E7" i="9"/>
  <c r="I7" i="9" s="1"/>
  <c r="F8" i="9"/>
  <c r="F6" i="9"/>
  <c r="Y5" i="8"/>
  <c r="Y6" i="8"/>
  <c r="Y10" i="8"/>
  <c r="Y16" i="8"/>
  <c r="I10" i="9"/>
  <c r="Y15" i="8"/>
  <c r="Y7" i="8"/>
  <c r="X17" i="8"/>
  <c r="W17" i="8"/>
  <c r="I6" i="9" l="1"/>
  <c r="I9" i="9"/>
  <c r="F14" i="9"/>
  <c r="E14" i="9"/>
  <c r="I8" i="9"/>
  <c r="Y17" i="8"/>
  <c r="I14" i="9" l="1"/>
</calcChain>
</file>

<file path=xl/sharedStrings.xml><?xml version="1.0" encoding="utf-8"?>
<sst xmlns="http://schemas.openxmlformats.org/spreadsheetml/2006/main" count="101" uniqueCount="83">
  <si>
    <t>本市城镇</t>
  </si>
  <si>
    <t>山东省社会保险费征缴通知单</t>
  </si>
  <si>
    <t>收费项目</t>
  </si>
  <si>
    <t>起始年月</t>
  </si>
  <si>
    <t>终止年月</t>
  </si>
  <si>
    <t>人数</t>
  </si>
  <si>
    <t>单位缴纳额</t>
  </si>
  <si>
    <t>个人缴纳额</t>
  </si>
  <si>
    <t>滞纳金</t>
  </si>
  <si>
    <t>利息</t>
  </si>
  <si>
    <t>合计金额</t>
  </si>
  <si>
    <t>基本养老保险费</t>
  </si>
  <si>
    <t>基本医疗保险费</t>
  </si>
  <si>
    <t>失业保险费</t>
  </si>
  <si>
    <t>工伤保险费</t>
  </si>
  <si>
    <t>生育保险费</t>
  </si>
  <si>
    <t>大额救助金</t>
  </si>
  <si>
    <t>劳模补助金</t>
  </si>
  <si>
    <t>企业基本信息</t>
    <phoneticPr fontId="3" type="noConversion"/>
  </si>
  <si>
    <t>单位名称:</t>
    <phoneticPr fontId="3" type="noConversion"/>
  </si>
  <si>
    <t>社保编号:</t>
    <phoneticPr fontId="3" type="noConversion"/>
  </si>
  <si>
    <t>二、使用本表前，请先设置隐藏的第一行：单位社保所在区市、工伤保险比例、社平</t>
    <phoneticPr fontId="3" type="noConversion"/>
  </si>
  <si>
    <t>三、涵盖本市城镇、本市农村、外来城镇、外来农村和本区城乡五中缴费人员类别；</t>
    <phoneticPr fontId="3" type="noConversion"/>
  </si>
  <si>
    <t>本区城乡，是指部分区市对于本区的所有户口类型都按照城镇户口，个人缴纳失业保险</t>
    <phoneticPr fontId="3" type="noConversion"/>
  </si>
  <si>
    <t>如开发区社保中心，对于开发区户口的农业和城镇户口都统称本区城乡，全部个人承担1%的生育保险；</t>
    <phoneticPr fontId="3" type="noConversion"/>
  </si>
  <si>
    <t>四、所有金额按要求保留绝对的两位小数或整数，不会出现合计“差几分钱”的问题；</t>
    <phoneticPr fontId="3" type="noConversion"/>
  </si>
  <si>
    <t>五、缴费基数做了有效性，即缴费工资应大于零。</t>
    <phoneticPr fontId="3" type="noConversion"/>
  </si>
  <si>
    <t>六、明细与缴费单是衔接使用的，明细核算每人的保险费；缴费单完全按照社保中心的发票格式，方便对账。</t>
    <phoneticPr fontId="3" type="noConversion"/>
  </si>
  <si>
    <t>单位编号</t>
    <phoneticPr fontId="3" type="noConversion"/>
  </si>
  <si>
    <t>月份</t>
    <phoneticPr fontId="3" type="noConversion"/>
  </si>
  <si>
    <t>注册区市</t>
    <phoneticPr fontId="3" type="noConversion"/>
  </si>
  <si>
    <t>工伤比例</t>
    <phoneticPr fontId="3" type="noConversion"/>
  </si>
  <si>
    <t>序号</t>
    <phoneticPr fontId="3" type="noConversion"/>
  </si>
  <si>
    <t>社保编号</t>
    <phoneticPr fontId="3" type="noConversion"/>
  </si>
  <si>
    <t>职工信息</t>
    <phoneticPr fontId="3" type="noConversion"/>
  </si>
  <si>
    <t>各项保险缴费金额</t>
    <phoneticPr fontId="3" type="noConversion"/>
  </si>
  <si>
    <t>其他</t>
    <phoneticPr fontId="3" type="noConversion"/>
  </si>
  <si>
    <t>合计</t>
    <phoneticPr fontId="3" type="noConversion"/>
  </si>
  <si>
    <t>姓 名</t>
    <phoneticPr fontId="3" type="noConversion"/>
  </si>
  <si>
    <t>人员类别</t>
    <phoneticPr fontId="3" type="noConversion"/>
  </si>
  <si>
    <t>缴费工资</t>
    <phoneticPr fontId="3" type="noConversion"/>
  </si>
  <si>
    <t>缴费基数</t>
    <phoneticPr fontId="3" type="noConversion"/>
  </si>
  <si>
    <t>单位</t>
    <phoneticPr fontId="3" type="noConversion"/>
  </si>
  <si>
    <t>个人</t>
    <phoneticPr fontId="3" type="noConversion"/>
  </si>
  <si>
    <t>滞纳金</t>
    <phoneticPr fontId="3" type="noConversion"/>
  </si>
  <si>
    <t>利息</t>
    <phoneticPr fontId="3" type="noConversion"/>
  </si>
  <si>
    <t>应缴</t>
    <phoneticPr fontId="3" type="noConversion"/>
  </si>
  <si>
    <t>养老</t>
    <phoneticPr fontId="3" type="noConversion"/>
  </si>
  <si>
    <t>医疗</t>
    <phoneticPr fontId="3" type="noConversion"/>
  </si>
  <si>
    <t>工伤</t>
    <phoneticPr fontId="3" type="noConversion"/>
  </si>
  <si>
    <t>失业</t>
    <phoneticPr fontId="3" type="noConversion"/>
  </si>
  <si>
    <t>生育</t>
    <phoneticPr fontId="3" type="noConversion"/>
  </si>
  <si>
    <t>总计</t>
    <phoneticPr fontId="3" type="noConversion"/>
  </si>
  <si>
    <t>合  计</t>
    <phoneticPr fontId="3" type="noConversion"/>
  </si>
  <si>
    <t>单位编号：</t>
    <phoneticPr fontId="3" type="noConversion"/>
  </si>
  <si>
    <t>缴费单位：</t>
    <phoneticPr fontId="3" type="noConversion"/>
  </si>
  <si>
    <t>单位：</t>
    <phoneticPr fontId="3" type="noConversion"/>
  </si>
  <si>
    <t>元</t>
    <phoneticPr fontId="3" type="noConversion"/>
  </si>
  <si>
    <t>合计</t>
    <phoneticPr fontId="3" type="noConversion"/>
  </si>
  <si>
    <t>市南区</t>
  </si>
  <si>
    <t>本市城镇</t>
    <phoneticPr fontId="12" type="noConversion"/>
  </si>
  <si>
    <t>6月</t>
    <phoneticPr fontId="3" type="noConversion"/>
  </si>
  <si>
    <t>1-5月</t>
    <phoneticPr fontId="3" type="noConversion"/>
  </si>
  <si>
    <t>补缴月数</t>
    <phoneticPr fontId="3" type="noConversion"/>
  </si>
  <si>
    <t>月补差额</t>
    <phoneticPr fontId="3" type="noConversion"/>
  </si>
  <si>
    <t>本市农村</t>
  </si>
  <si>
    <t>外来城镇</t>
    <phoneticPr fontId="12" type="noConversion"/>
  </si>
  <si>
    <t>本市城镇</t>
    <phoneticPr fontId="12" type="noConversion"/>
  </si>
  <si>
    <r>
      <t>一、本表按照201</t>
    </r>
    <r>
      <rPr>
        <sz val="12"/>
        <rFont val="宋体"/>
        <family val="3"/>
        <charset val="134"/>
      </rPr>
      <t>4</t>
    </r>
    <r>
      <rPr>
        <sz val="12"/>
        <rFont val="宋体"/>
        <family val="3"/>
        <charset val="134"/>
      </rPr>
      <t>年</t>
    </r>
    <r>
      <rPr>
        <sz val="12"/>
        <rFont val="宋体"/>
        <family val="3"/>
        <charset val="134"/>
      </rPr>
      <t>6</t>
    </r>
    <r>
      <rPr>
        <sz val="12"/>
        <rFont val="宋体"/>
        <family val="3"/>
        <charset val="134"/>
      </rPr>
      <t>月新政策（基数、比例规定）制作</t>
    </r>
    <phoneticPr fontId="3" type="noConversion"/>
  </si>
  <si>
    <t>说明：如下截图来自青岛人保局社保费征缴邮件通知</t>
    <phoneticPr fontId="3" type="noConversion"/>
  </si>
  <si>
    <t>12社平</t>
    <phoneticPr fontId="3" type="noConversion"/>
  </si>
  <si>
    <t>13社平</t>
    <phoneticPr fontId="3" type="noConversion"/>
  </si>
  <si>
    <r>
      <t>2</t>
    </r>
    <r>
      <rPr>
        <sz val="10"/>
        <rFont val="宋体"/>
        <family val="3"/>
        <charset val="134"/>
      </rPr>
      <t>014年1-6月在职</t>
    </r>
    <phoneticPr fontId="12" type="noConversion"/>
  </si>
  <si>
    <r>
      <t>2014年1-6月在职</t>
    </r>
    <r>
      <rPr>
        <sz val="10"/>
        <color theme="1"/>
        <rFont val="宋体"/>
        <family val="2"/>
        <charset val="134"/>
        <scheme val="minor"/>
      </rPr>
      <t/>
    </r>
    <phoneticPr fontId="12" type="noConversion"/>
  </si>
  <si>
    <t>2014年1-5月在职，入职前2014停保</t>
    <phoneticPr fontId="12" type="noConversion"/>
  </si>
  <si>
    <t>2014年1-5月在职，入职前原单位参保</t>
    <phoneticPr fontId="12" type="noConversion"/>
  </si>
  <si>
    <t>外来城镇</t>
    <phoneticPr fontId="12" type="noConversion"/>
  </si>
  <si>
    <t>本市城镇</t>
    <phoneticPr fontId="12" type="noConversion"/>
  </si>
  <si>
    <t>2014年1-5月离职</t>
  </si>
  <si>
    <t>2014年1-5月离职</t>
    <phoneticPr fontId="3" type="noConversion"/>
  </si>
  <si>
    <t>2014年1-5月在职，入职前七区自谋职业参保</t>
    <phoneticPr fontId="12" type="noConversion"/>
  </si>
  <si>
    <t>2014年1-5月在职，入职前四市自谋职业参保</t>
    <phoneticPr fontId="12" type="noConversion"/>
  </si>
  <si>
    <t>青岛XX服务有限公司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</si>
</sst>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_ "/>
    <numFmt numFmtId="177" formatCode="0.0%"/>
  </numFmts>
  <fonts count="15" x14ac:knownFonts="1">
    <font>
      <sz val="12"/>
      <name val="宋体"/>
      <charset val="134"/>
    </font>
    <font>
      <sz val="10"/>
      <color theme="1"/>
      <name val="宋体"/>
      <family val="2"/>
      <charset val="134"/>
      <scheme val="minor"/>
    </font>
    <font>
      <sz val="12"/>
      <name val="宋体"/>
      <family val="3"/>
      <charset val="134"/>
    </font>
    <font>
      <sz val="9"/>
      <name val="宋体"/>
      <family val="3"/>
      <charset val="134"/>
    </font>
    <font>
      <b/>
      <sz val="12"/>
      <name val="宋体"/>
      <family val="3"/>
      <charset val="134"/>
    </font>
    <font>
      <b/>
      <sz val="12"/>
      <color indexed="8"/>
      <name val="宋体"/>
      <family val="3"/>
      <charset val="134"/>
    </font>
    <font>
      <sz val="10"/>
      <name val="宋体"/>
      <family val="3"/>
      <charset val="134"/>
    </font>
    <font>
      <b/>
      <sz val="18"/>
      <color indexed="8"/>
      <name val="Verdana"/>
      <family val="2"/>
    </font>
    <font>
      <sz val="10"/>
      <color indexed="8"/>
      <name val="宋体"/>
      <family val="3"/>
      <charset val="134"/>
    </font>
    <font>
      <sz val="10"/>
      <color indexed="8"/>
      <name val="Verdana"/>
      <family val="2"/>
    </font>
    <font>
      <sz val="9"/>
      <name val="Verdana"/>
      <family val="2"/>
    </font>
    <font>
      <sz val="10"/>
      <name val="宋体"/>
      <family val="3"/>
      <charset val="134"/>
    </font>
    <font>
      <sz val="9"/>
      <name val="宋体"/>
      <family val="3"/>
      <charset val="134"/>
    </font>
    <font>
      <b/>
      <sz val="10"/>
      <name val="宋体"/>
      <family val="3"/>
      <charset val="134"/>
    </font>
    <font>
      <sz val="1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indexed="1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8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4" fillId="0" borderId="0"/>
  </cellStyleXfs>
  <cellXfs count="82">
    <xf numFmtId="0" fontId="0" fillId="0" borderId="0" xfId="0">
      <alignment vertical="center"/>
    </xf>
    <xf numFmtId="0" fontId="0" fillId="2" borderId="0" xfId="0" applyFill="1">
      <alignment vertical="center"/>
    </xf>
    <xf numFmtId="0" fontId="2" fillId="0" borderId="0" xfId="0" applyFont="1" applyAlignment="1" applyProtection="1">
      <alignment vertical="center"/>
      <protection locked="0"/>
    </xf>
    <xf numFmtId="49" fontId="2" fillId="0" borderId="0" xfId="0" applyNumberFormat="1" applyFont="1" applyAlignment="1" applyProtection="1">
      <alignment vertical="center"/>
      <protection locked="0"/>
    </xf>
    <xf numFmtId="0" fontId="2" fillId="3" borderId="0" xfId="0" applyFont="1" applyFill="1" applyAlignment="1" applyProtection="1">
      <alignment vertical="center"/>
      <protection locked="0"/>
    </xf>
    <xf numFmtId="0" fontId="2" fillId="0" borderId="0" xfId="0" applyFont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2" fillId="3" borderId="0" xfId="0" applyFont="1" applyFill="1" applyProtection="1">
      <alignment vertical="center"/>
      <protection locked="0"/>
    </xf>
    <xf numFmtId="9" fontId="2" fillId="0" borderId="0" xfId="0" applyNumberFormat="1" applyFont="1" applyProtection="1">
      <alignment vertical="center"/>
      <protection locked="0" hidden="1"/>
    </xf>
    <xf numFmtId="9" fontId="2" fillId="0" borderId="0" xfId="0" applyNumberFormat="1" applyFont="1" applyProtection="1">
      <alignment vertical="center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4" fillId="4" borderId="1" xfId="0" applyFont="1" applyFill="1" applyBorder="1" applyAlignment="1" applyProtection="1">
      <alignment horizontal="center" vertical="center" wrapText="1"/>
      <protection locked="0"/>
    </xf>
    <xf numFmtId="9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4" borderId="2" xfId="0" applyFont="1" applyFill="1" applyBorder="1" applyAlignment="1" applyProtection="1">
      <alignment vertical="center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6" fillId="0" borderId="1" xfId="0" applyFont="1" applyBorder="1" applyProtection="1">
      <alignment vertical="center"/>
      <protection locked="0"/>
    </xf>
    <xf numFmtId="0" fontId="6" fillId="0" borderId="1" xfId="0" applyFont="1" applyFill="1" applyBorder="1" applyProtection="1">
      <alignment vertical="center"/>
      <protection locked="0" hidden="1"/>
    </xf>
    <xf numFmtId="176" fontId="6" fillId="6" borderId="3" xfId="0" applyNumberFormat="1" applyFont="1" applyFill="1" applyBorder="1" applyProtection="1">
      <alignment vertical="center"/>
      <protection locked="0" hidden="1"/>
    </xf>
    <xf numFmtId="176" fontId="6" fillId="6" borderId="3" xfId="0" applyNumberFormat="1" applyFont="1" applyFill="1" applyBorder="1" applyProtection="1">
      <alignment vertical="center"/>
      <protection locked="0"/>
    </xf>
    <xf numFmtId="0" fontId="6" fillId="0" borderId="0" xfId="0" applyFont="1" applyProtection="1">
      <alignment vertical="center"/>
      <protection locked="0"/>
    </xf>
    <xf numFmtId="176" fontId="6" fillId="6" borderId="1" xfId="0" applyNumberFormat="1" applyFont="1" applyFill="1" applyBorder="1" applyProtection="1">
      <alignment vertical="center"/>
      <protection locked="0" hidden="1"/>
    </xf>
    <xf numFmtId="0" fontId="2" fillId="0" borderId="2" xfId="0" applyFont="1" applyBorder="1" applyAlignment="1" applyProtection="1">
      <alignment horizontal="center" vertical="center"/>
      <protection locked="0"/>
    </xf>
    <xf numFmtId="176" fontId="6" fillId="2" borderId="1" xfId="0" applyNumberFormat="1" applyFont="1" applyFill="1" applyBorder="1" applyProtection="1">
      <alignment vertical="center"/>
      <protection locked="0"/>
    </xf>
    <xf numFmtId="49" fontId="2" fillId="0" borderId="0" xfId="0" applyNumberFormat="1" applyFont="1" applyProtection="1">
      <alignment vertical="center"/>
      <protection locked="0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6" fillId="0" borderId="0" xfId="0" applyFont="1">
      <alignment vertical="center"/>
    </xf>
    <xf numFmtId="0" fontId="0" fillId="0" borderId="0" xfId="0" applyAlignment="1">
      <alignment horizontal="left" vertical="center" wrapText="1"/>
    </xf>
    <xf numFmtId="0" fontId="10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10" fillId="2" borderId="1" xfId="0" applyFont="1" applyFill="1" applyBorder="1" applyAlignment="1">
      <alignment vertical="center" wrapText="1"/>
    </xf>
    <xf numFmtId="177" fontId="2" fillId="3" borderId="0" xfId="0" applyNumberFormat="1" applyFont="1" applyFill="1" applyProtection="1">
      <alignment vertical="center"/>
      <protection locked="0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 applyProtection="1">
      <alignment horizontal="center" vertical="center" wrapText="1"/>
      <protection locked="0"/>
    </xf>
    <xf numFmtId="0" fontId="6" fillId="0" borderId="3" xfId="0" applyFont="1" applyFill="1" applyBorder="1" applyProtection="1">
      <alignment vertical="center"/>
      <protection locked="0" hidden="1"/>
    </xf>
    <xf numFmtId="0" fontId="11" fillId="0" borderId="1" xfId="0" applyFont="1" applyBorder="1" applyProtection="1">
      <alignment vertical="center"/>
      <protection locked="0"/>
    </xf>
    <xf numFmtId="0" fontId="11" fillId="3" borderId="1" xfId="0" applyFont="1" applyFill="1" applyBorder="1" applyProtection="1">
      <alignment vertical="center"/>
      <protection locked="0"/>
    </xf>
    <xf numFmtId="0" fontId="11" fillId="5" borderId="1" xfId="0" applyFont="1" applyFill="1" applyBorder="1" applyProtection="1">
      <alignment vertical="center"/>
      <protection locked="0"/>
    </xf>
    <xf numFmtId="0" fontId="11" fillId="7" borderId="1" xfId="0" applyFont="1" applyFill="1" applyBorder="1" applyProtection="1">
      <alignment vertical="center"/>
      <protection locked="0"/>
    </xf>
    <xf numFmtId="0" fontId="13" fillId="2" borderId="1" xfId="0" applyFont="1" applyFill="1" applyBorder="1" applyAlignment="1" applyProtection="1">
      <alignment horizontal="center" vertical="center" wrapText="1"/>
      <protection locked="0"/>
    </xf>
    <xf numFmtId="0" fontId="6" fillId="5" borderId="1" xfId="0" applyFont="1" applyFill="1" applyBorder="1" applyProtection="1">
      <alignment vertical="center"/>
      <protection locked="0"/>
    </xf>
    <xf numFmtId="0" fontId="6" fillId="8" borderId="1" xfId="0" applyFont="1" applyFill="1" applyBorder="1" applyProtection="1">
      <alignment vertical="center"/>
      <protection locked="0"/>
    </xf>
    <xf numFmtId="49" fontId="6" fillId="8" borderId="1" xfId="0" applyNumberFormat="1" applyFont="1" applyFill="1" applyBorder="1" applyProtection="1">
      <alignment vertical="center"/>
      <protection locked="0"/>
    </xf>
    <xf numFmtId="0" fontId="11" fillId="9" borderId="1" xfId="0" applyFont="1" applyFill="1" applyBorder="1" applyProtection="1">
      <alignment vertical="center"/>
      <protection locked="0"/>
    </xf>
    <xf numFmtId="0" fontId="2" fillId="2" borderId="0" xfId="0" applyFont="1" applyFill="1">
      <alignment vertical="center"/>
    </xf>
    <xf numFmtId="0" fontId="2" fillId="0" borderId="0" xfId="0" applyFont="1">
      <alignment vertical="center"/>
    </xf>
    <xf numFmtId="0" fontId="10" fillId="11" borderId="1" xfId="0" applyFont="1" applyFill="1" applyBorder="1" applyAlignment="1">
      <alignment vertical="center" wrapText="1"/>
    </xf>
    <xf numFmtId="176" fontId="2" fillId="0" borderId="0" xfId="0" applyNumberFormat="1" applyFont="1" applyProtection="1">
      <alignment vertical="center"/>
      <protection locked="0"/>
    </xf>
    <xf numFmtId="0" fontId="11" fillId="12" borderId="1" xfId="0" applyFont="1" applyFill="1" applyBorder="1" applyProtection="1">
      <alignment vertical="center"/>
      <protection locked="0"/>
    </xf>
    <xf numFmtId="0" fontId="11" fillId="13" borderId="1" xfId="0" applyFont="1" applyFill="1" applyBorder="1" applyProtection="1">
      <alignment vertical="center"/>
      <protection locked="0"/>
    </xf>
    <xf numFmtId="0" fontId="6" fillId="9" borderId="1" xfId="0" applyFont="1" applyFill="1" applyBorder="1" applyProtection="1">
      <alignment vertical="center"/>
      <protection locked="0"/>
    </xf>
    <xf numFmtId="0" fontId="6" fillId="3" borderId="1" xfId="0" applyFont="1" applyFill="1" applyBorder="1" applyProtection="1">
      <alignment vertical="center"/>
      <protection locked="0"/>
    </xf>
    <xf numFmtId="0" fontId="6" fillId="13" borderId="1" xfId="0" applyFont="1" applyFill="1" applyBorder="1" applyProtection="1">
      <alignment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4" fillId="4" borderId="4" xfId="0" applyFont="1" applyFill="1" applyBorder="1" applyAlignment="1" applyProtection="1">
      <alignment horizontal="center" vertical="center"/>
      <protection locked="0"/>
    </xf>
    <xf numFmtId="0" fontId="4" fillId="4" borderId="5" xfId="0" applyFont="1" applyFill="1" applyBorder="1" applyAlignment="1" applyProtection="1">
      <alignment horizontal="center" vertical="center"/>
      <protection locked="0"/>
    </xf>
    <xf numFmtId="0" fontId="4" fillId="4" borderId="2" xfId="0" applyFont="1" applyFill="1" applyBorder="1" applyAlignment="1" applyProtection="1">
      <alignment horizontal="center" vertical="center"/>
      <protection locked="0"/>
    </xf>
    <xf numFmtId="0" fontId="5" fillId="4" borderId="6" xfId="0" applyFont="1" applyFill="1" applyBorder="1" applyAlignment="1" applyProtection="1">
      <alignment horizontal="center" vertical="center"/>
      <protection locked="0"/>
    </xf>
    <xf numFmtId="0" fontId="5" fillId="4" borderId="7" xfId="0" applyFont="1" applyFill="1" applyBorder="1" applyAlignment="1" applyProtection="1">
      <alignment horizontal="center" vertical="center"/>
      <protection locked="0"/>
    </xf>
    <xf numFmtId="0" fontId="5" fillId="4" borderId="8" xfId="0" applyFont="1" applyFill="1" applyBorder="1" applyAlignment="1" applyProtection="1">
      <alignment horizontal="center" vertical="center"/>
      <protection locked="0"/>
    </xf>
    <xf numFmtId="0" fontId="5" fillId="4" borderId="9" xfId="0" applyFont="1" applyFill="1" applyBorder="1" applyAlignment="1" applyProtection="1">
      <alignment horizontal="center" vertical="center"/>
      <protection locked="0"/>
    </xf>
    <xf numFmtId="0" fontId="5" fillId="4" borderId="10" xfId="0" applyFont="1" applyFill="1" applyBorder="1" applyAlignment="1" applyProtection="1">
      <alignment horizontal="center" vertical="center"/>
      <protection locked="0"/>
    </xf>
    <xf numFmtId="0" fontId="5" fillId="4" borderId="11" xfId="0" applyFont="1" applyFill="1" applyBorder="1" applyAlignment="1" applyProtection="1">
      <alignment horizontal="center" vertical="center"/>
      <protection locked="0"/>
    </xf>
    <xf numFmtId="0" fontId="4" fillId="4" borderId="1" xfId="0" applyFont="1" applyFill="1" applyBorder="1" applyAlignment="1" applyProtection="1">
      <alignment horizontal="center" vertical="center" wrapText="1"/>
      <protection locked="0"/>
    </xf>
    <xf numFmtId="0" fontId="4" fillId="4" borderId="1" xfId="0" applyFont="1" applyFill="1" applyBorder="1" applyAlignment="1" applyProtection="1">
      <alignment horizontal="center" vertical="center"/>
      <protection locked="0"/>
    </xf>
    <xf numFmtId="0" fontId="5" fillId="4" borderId="4" xfId="0" applyFont="1" applyFill="1" applyBorder="1" applyAlignment="1" applyProtection="1">
      <alignment horizontal="center" vertical="center"/>
      <protection locked="0"/>
    </xf>
    <xf numFmtId="0" fontId="5" fillId="4" borderId="5" xfId="0" applyFont="1" applyFill="1" applyBorder="1" applyAlignment="1" applyProtection="1">
      <alignment horizontal="center" vertical="center"/>
      <protection locked="0"/>
    </xf>
    <xf numFmtId="0" fontId="5" fillId="4" borderId="2" xfId="0" applyFon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 applyProtection="1">
      <alignment horizontal="center" vertical="center" wrapText="1"/>
      <protection locked="0"/>
    </xf>
    <xf numFmtId="0" fontId="4" fillId="2" borderId="2" xfId="0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49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2" fillId="10" borderId="0" xfId="0" applyFont="1" applyFill="1" applyBorder="1" applyAlignment="1">
      <alignment horizontal="left" vertical="center" wrapText="1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 enableFormatConditionsCalculation="0">
    <tabColor indexed="10"/>
  </sheetPr>
  <dimension ref="A1:B13"/>
  <sheetViews>
    <sheetView workbookViewId="0">
      <selection activeCell="F5" sqref="F5"/>
    </sheetView>
  </sheetViews>
  <sheetFormatPr defaultRowHeight="19.5" customHeight="1" x14ac:dyDescent="0.15"/>
  <cols>
    <col min="1" max="1" width="10" customWidth="1"/>
    <col min="2" max="2" width="11.625" bestFit="1" customWidth="1"/>
  </cols>
  <sheetData>
    <row r="1" spans="1:2" ht="19.5" customHeight="1" x14ac:dyDescent="0.15">
      <c r="A1" t="s">
        <v>18</v>
      </c>
    </row>
    <row r="3" spans="1:2" ht="19.5" customHeight="1" x14ac:dyDescent="0.15">
      <c r="A3" t="s">
        <v>19</v>
      </c>
      <c r="B3" s="46" t="s">
        <v>82</v>
      </c>
    </row>
    <row r="4" spans="1:2" ht="19.5" customHeight="1" x14ac:dyDescent="0.15">
      <c r="A4" t="s">
        <v>20</v>
      </c>
      <c r="B4" s="1">
        <v>3702</v>
      </c>
    </row>
    <row r="6" spans="1:2" ht="19.5" customHeight="1" x14ac:dyDescent="0.15">
      <c r="A6" s="47" t="s">
        <v>68</v>
      </c>
    </row>
    <row r="7" spans="1:2" ht="19.5" customHeight="1" x14ac:dyDescent="0.15">
      <c r="A7" t="s">
        <v>21</v>
      </c>
    </row>
    <row r="8" spans="1:2" ht="19.5" customHeight="1" x14ac:dyDescent="0.15">
      <c r="A8" t="s">
        <v>22</v>
      </c>
    </row>
    <row r="9" spans="1:2" ht="19.5" customHeight="1" x14ac:dyDescent="0.15">
      <c r="A9" t="s">
        <v>23</v>
      </c>
    </row>
    <row r="10" spans="1:2" ht="19.5" customHeight="1" x14ac:dyDescent="0.15">
      <c r="A10" t="s">
        <v>24</v>
      </c>
    </row>
    <row r="11" spans="1:2" ht="19.5" customHeight="1" x14ac:dyDescent="0.15">
      <c r="A11" t="s">
        <v>25</v>
      </c>
    </row>
    <row r="12" spans="1:2" ht="19.5" customHeight="1" x14ac:dyDescent="0.15">
      <c r="A12" t="s">
        <v>26</v>
      </c>
    </row>
    <row r="13" spans="1:2" ht="19.5" customHeight="1" x14ac:dyDescent="0.15">
      <c r="A13" t="s">
        <v>27</v>
      </c>
    </row>
  </sheetData>
  <phoneticPr fontId="3" type="noConversion"/>
  <pageMargins left="0.75" right="0.75" top="1" bottom="1" header="0.5" footer="0.5"/>
  <pageSetup paperSize="9" orientation="portrait" horizontalDpi="0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AA19"/>
  <sheetViews>
    <sheetView tabSelected="1" zoomScale="90" workbookViewId="0">
      <selection activeCell="K5" sqref="K5"/>
    </sheetView>
  </sheetViews>
  <sheetFormatPr defaultRowHeight="17.25" customHeight="1" x14ac:dyDescent="0.15"/>
  <cols>
    <col min="1" max="1" width="4.375" style="5" customWidth="1"/>
    <col min="2" max="2" width="33.5" style="25" customWidth="1"/>
    <col min="3" max="3" width="7.25" style="5" customWidth="1"/>
    <col min="4" max="4" width="9.375" style="5" customWidth="1"/>
    <col min="5" max="5" width="5.5" style="5" customWidth="1"/>
    <col min="6" max="6" width="7" style="5" customWidth="1"/>
    <col min="7" max="7" width="8.75" style="5" customWidth="1"/>
    <col min="8" max="8" width="7.875" style="5" customWidth="1"/>
    <col min="9" max="10" width="7" style="5" customWidth="1"/>
    <col min="11" max="12" width="8.625" style="5" customWidth="1"/>
    <col min="13" max="15" width="7.125" style="5" customWidth="1"/>
    <col min="16" max="16" width="7.625" style="5" customWidth="1"/>
    <col min="17" max="17" width="8" style="5" customWidth="1"/>
    <col min="18" max="18" width="5.875" style="5" customWidth="1"/>
    <col min="19" max="19" width="7.125" style="5" customWidth="1"/>
    <col min="20" max="20" width="5.25" style="5" customWidth="1"/>
    <col min="21" max="21" width="7.125" style="5" customWidth="1"/>
    <col min="22" max="22" width="4.875" style="5" customWidth="1"/>
    <col min="23" max="23" width="8.625" style="5" customWidth="1"/>
    <col min="24" max="24" width="7.625" style="5" customWidth="1"/>
    <col min="25" max="16384" width="9" style="5"/>
  </cols>
  <sheetData>
    <row r="1" spans="1:27" ht="17.25" customHeight="1" x14ac:dyDescent="0.15">
      <c r="A1" s="2" t="s">
        <v>28</v>
      </c>
      <c r="B1" s="3"/>
      <c r="C1" s="77">
        <f>说明!B4</f>
        <v>3702</v>
      </c>
      <c r="D1" s="77"/>
      <c r="E1" s="2" t="s">
        <v>29</v>
      </c>
      <c r="F1" s="4">
        <v>201406</v>
      </c>
      <c r="G1" s="4"/>
      <c r="H1" s="4"/>
      <c r="I1" s="4"/>
      <c r="J1" s="4"/>
      <c r="L1" s="6" t="s">
        <v>30</v>
      </c>
      <c r="M1" s="7" t="s">
        <v>59</v>
      </c>
      <c r="N1" s="8">
        <f>IF(MID(M1,3,2)="市",8%,9%)</f>
        <v>0.09</v>
      </c>
      <c r="O1" s="9"/>
      <c r="P1" s="5" t="s">
        <v>31</v>
      </c>
      <c r="Q1" s="33">
        <v>7.0000000000000001E-3</v>
      </c>
      <c r="S1" s="5" t="s">
        <v>70</v>
      </c>
      <c r="T1" s="7">
        <v>3117</v>
      </c>
      <c r="U1" s="5" t="s">
        <v>71</v>
      </c>
      <c r="V1" s="5">
        <v>3557</v>
      </c>
    </row>
    <row r="2" spans="1:27" s="12" customFormat="1" ht="17.25" customHeight="1" x14ac:dyDescent="0.15">
      <c r="A2" s="75" t="s">
        <v>32</v>
      </c>
      <c r="B2" s="76" t="s">
        <v>33</v>
      </c>
      <c r="C2" s="58" t="s">
        <v>34</v>
      </c>
      <c r="D2" s="58"/>
      <c r="E2" s="58"/>
      <c r="F2" s="58"/>
      <c r="G2" s="34"/>
      <c r="H2" s="34"/>
      <c r="I2" s="34"/>
      <c r="J2" s="34"/>
      <c r="K2" s="70" t="s">
        <v>35</v>
      </c>
      <c r="L2" s="71"/>
      <c r="M2" s="71"/>
      <c r="N2" s="71"/>
      <c r="O2" s="71"/>
      <c r="P2" s="71"/>
      <c r="Q2" s="71"/>
      <c r="R2" s="71"/>
      <c r="S2" s="71"/>
      <c r="T2" s="72"/>
      <c r="U2" s="69" t="s">
        <v>36</v>
      </c>
      <c r="V2" s="69"/>
      <c r="W2" s="62" t="s">
        <v>37</v>
      </c>
      <c r="X2" s="63"/>
      <c r="Y2" s="64"/>
      <c r="Z2" s="11"/>
      <c r="AA2" s="11"/>
    </row>
    <row r="3" spans="1:27" s="12" customFormat="1" ht="17.25" customHeight="1" x14ac:dyDescent="0.15">
      <c r="A3" s="75"/>
      <c r="B3" s="76"/>
      <c r="C3" s="75" t="s">
        <v>38</v>
      </c>
      <c r="D3" s="75" t="s">
        <v>39</v>
      </c>
      <c r="E3" s="76" t="s">
        <v>40</v>
      </c>
      <c r="F3" s="75" t="s">
        <v>41</v>
      </c>
      <c r="G3" s="73" t="s">
        <v>62</v>
      </c>
      <c r="H3" s="74"/>
      <c r="I3" s="35" t="s">
        <v>61</v>
      </c>
      <c r="J3" s="35" t="s">
        <v>61</v>
      </c>
      <c r="K3" s="59" t="s">
        <v>42</v>
      </c>
      <c r="L3" s="60"/>
      <c r="M3" s="60"/>
      <c r="N3" s="60"/>
      <c r="O3" s="61"/>
      <c r="P3" s="59" t="s">
        <v>43</v>
      </c>
      <c r="Q3" s="60"/>
      <c r="R3" s="60"/>
      <c r="S3" s="60"/>
      <c r="T3" s="61"/>
      <c r="U3" s="68" t="s">
        <v>44</v>
      </c>
      <c r="V3" s="68" t="s">
        <v>45</v>
      </c>
      <c r="W3" s="65"/>
      <c r="X3" s="66"/>
      <c r="Y3" s="67"/>
    </row>
    <row r="4" spans="1:27" s="16" customFormat="1" ht="14.25" x14ac:dyDescent="0.15">
      <c r="A4" s="75"/>
      <c r="B4" s="76"/>
      <c r="C4" s="75"/>
      <c r="D4" s="75"/>
      <c r="E4" s="76"/>
      <c r="F4" s="75"/>
      <c r="G4" s="41" t="s">
        <v>64</v>
      </c>
      <c r="H4" s="41" t="s">
        <v>63</v>
      </c>
      <c r="I4" s="10" t="s">
        <v>46</v>
      </c>
      <c r="J4" s="10" t="s">
        <v>37</v>
      </c>
      <c r="K4" s="13" t="s">
        <v>47</v>
      </c>
      <c r="L4" s="13" t="s">
        <v>48</v>
      </c>
      <c r="M4" s="14" t="s">
        <v>49</v>
      </c>
      <c r="N4" s="13" t="s">
        <v>50</v>
      </c>
      <c r="O4" s="13" t="s">
        <v>51</v>
      </c>
      <c r="P4" s="13" t="s">
        <v>47</v>
      </c>
      <c r="Q4" s="13" t="s">
        <v>48</v>
      </c>
      <c r="R4" s="14" t="s">
        <v>49</v>
      </c>
      <c r="S4" s="13" t="s">
        <v>50</v>
      </c>
      <c r="T4" s="13" t="s">
        <v>51</v>
      </c>
      <c r="U4" s="68"/>
      <c r="V4" s="68"/>
      <c r="W4" s="13" t="s">
        <v>42</v>
      </c>
      <c r="X4" s="13" t="s">
        <v>43</v>
      </c>
      <c r="Y4" s="15" t="s">
        <v>52</v>
      </c>
    </row>
    <row r="5" spans="1:27" s="21" customFormat="1" ht="17.25" customHeight="1" x14ac:dyDescent="0.15">
      <c r="A5" s="37">
        <v>1</v>
      </c>
      <c r="B5" s="53" t="s">
        <v>72</v>
      </c>
      <c r="C5" s="38"/>
      <c r="D5" s="38" t="s">
        <v>60</v>
      </c>
      <c r="E5" s="39">
        <v>1900</v>
      </c>
      <c r="F5" s="18">
        <f t="shared" ref="F5:F16" si="0">IF(E5&gt;=$T$1*3,$T$1*3,IF(E5&lt;=ROUND($T$1*0.6,0),ROUND($T$1*0.6,0),E5))</f>
        <v>1900</v>
      </c>
      <c r="G5" s="36">
        <f t="shared" ref="G5:G16" si="1">I5-F5</f>
        <v>234</v>
      </c>
      <c r="H5" s="36">
        <v>5</v>
      </c>
      <c r="I5" s="36">
        <f t="shared" ref="I5:I16" si="2">IF(E5&gt;=$V$1*3,$V$1*3,IF(E5&lt;=ROUND($V$1*0.6,0),ROUND($V$1*0.6,0),E5))</f>
        <v>2134</v>
      </c>
      <c r="J5" s="36">
        <f>I5+G5*H5</f>
        <v>3304</v>
      </c>
      <c r="K5" s="19">
        <f>IF(MID(D5,3,2)&lt;&gt;"城镇",ROUND((ROUND($V$1*0.6,0)+H5*ROUND(($V$1-$T$1)*0.6,0))*0.18,2),ROUND(J5*0.18,2))</f>
        <v>594.72</v>
      </c>
      <c r="L5" s="19">
        <f t="shared" ref="L5" si="3">ROUND(J5*$N$1,2)</f>
        <v>297.36</v>
      </c>
      <c r="M5" s="22">
        <f>IF(MID(D5,3,2)&lt;&gt;"城镇",ROUND((ROUND($V$1*0.6,0)+H5*ROUND(($V$1-$T$1)*0.6,0))*$Q$1,2),ROUND(J5*$Q$1,2))</f>
        <v>23.13</v>
      </c>
      <c r="N5" s="19">
        <f>ROUND(J5*0.01,2)</f>
        <v>33.04</v>
      </c>
      <c r="O5" s="19">
        <f t="shared" ref="O5" si="4">ROUND(J5*0.01,2)</f>
        <v>33.04</v>
      </c>
      <c r="P5" s="19">
        <f>ROUND(J5*0.08,2)</f>
        <v>264.32</v>
      </c>
      <c r="Q5" s="19">
        <f>ROUND(J5*0.02,2)</f>
        <v>66.08</v>
      </c>
      <c r="R5" s="19">
        <f>ROUND(J5*0,2)</f>
        <v>0</v>
      </c>
      <c r="S5" s="19">
        <f>IF(MID(D5,3,2)="农村",0,ROUND(J5*0.005,2))</f>
        <v>16.52</v>
      </c>
      <c r="T5" s="19">
        <f t="shared" ref="T5" si="5">ROUND(J5*0,2)</f>
        <v>0</v>
      </c>
      <c r="U5" s="20"/>
      <c r="V5" s="20"/>
      <c r="W5" s="20">
        <f t="shared" ref="W5" si="6">SUM(K5:O5)</f>
        <v>981.29</v>
      </c>
      <c r="X5" s="20">
        <f t="shared" ref="X5" si="7">SUM(P5:T5)</f>
        <v>346.91999999999996</v>
      </c>
      <c r="Y5" s="20">
        <f t="shared" ref="Y5" si="8">SUM(W5:X5)</f>
        <v>1328.21</v>
      </c>
    </row>
    <row r="6" spans="1:27" s="21" customFormat="1" ht="17.25" customHeight="1" x14ac:dyDescent="0.15">
      <c r="A6" s="37">
        <v>16</v>
      </c>
      <c r="B6" s="53" t="s">
        <v>73</v>
      </c>
      <c r="C6" s="38"/>
      <c r="D6" s="38" t="s">
        <v>66</v>
      </c>
      <c r="E6" s="39">
        <v>1800</v>
      </c>
      <c r="F6" s="18">
        <f t="shared" si="0"/>
        <v>1870</v>
      </c>
      <c r="G6" s="36">
        <f t="shared" si="1"/>
        <v>264</v>
      </c>
      <c r="H6" s="36">
        <v>5</v>
      </c>
      <c r="I6" s="36">
        <f t="shared" si="2"/>
        <v>2134</v>
      </c>
      <c r="J6" s="36">
        <f t="shared" ref="J6:J7" si="9">I6+G6*H6</f>
        <v>3454</v>
      </c>
      <c r="K6" s="19">
        <f>IF(MID(D6,3,2)&lt;&gt;"城镇",ROUND((ROUND($V$1*0.6,0)+H6*ROUND(($V$1-$T$1)*0.6,0))*0.18,2),ROUND(J6*0.18,2))</f>
        <v>621.72</v>
      </c>
      <c r="L6" s="19">
        <f t="shared" ref="L6:L7" si="10">ROUND(J6*$N$1,2)</f>
        <v>310.86</v>
      </c>
      <c r="M6" s="22">
        <f t="shared" ref="M6:M8" si="11">IF(MID(D6,3,2)&lt;&gt;"城镇",ROUND((ROUND($V$1*0.6,0)+H6*ROUND(($V$1-$T$1)*0.6,0))*$Q$1,2),ROUND(J6*$Q$1,2))</f>
        <v>24.18</v>
      </c>
      <c r="N6" s="19">
        <f t="shared" ref="N6:N16" si="12">ROUND(J6*0.01,2)</f>
        <v>34.54</v>
      </c>
      <c r="O6" s="19">
        <f t="shared" ref="O6:O7" si="13">ROUND(J6*0.01,2)</f>
        <v>34.54</v>
      </c>
      <c r="P6" s="19">
        <f t="shared" ref="P6" si="14">ROUND(J6*0.08,2)</f>
        <v>276.32</v>
      </c>
      <c r="Q6" s="19">
        <f t="shared" ref="Q6" si="15">ROUND(J6*0.02,2)</f>
        <v>69.08</v>
      </c>
      <c r="R6" s="19">
        <f t="shared" ref="R6" si="16">ROUND(J6*0,2)</f>
        <v>0</v>
      </c>
      <c r="S6" s="19">
        <f t="shared" ref="S6:S10" si="17">IF(MID(D6,3,2)="农村",0,ROUND(J6*0.005,2))</f>
        <v>17.27</v>
      </c>
      <c r="T6" s="19">
        <f t="shared" ref="T6" si="18">ROUND(J6*0,2)</f>
        <v>0</v>
      </c>
      <c r="U6" s="20"/>
      <c r="V6" s="20"/>
      <c r="W6" s="20">
        <f t="shared" ref="W6:W15" si="19">SUM(K6:O6)</f>
        <v>1025.8399999999999</v>
      </c>
      <c r="X6" s="20">
        <f t="shared" ref="X6:X15" si="20">SUM(P6:T6)</f>
        <v>362.66999999999996</v>
      </c>
      <c r="Y6" s="20">
        <f t="shared" ref="Y6:Y15" si="21">SUM(W6:X6)</f>
        <v>1388.5099999999998</v>
      </c>
    </row>
    <row r="7" spans="1:27" s="21" customFormat="1" ht="17.25" customHeight="1" x14ac:dyDescent="0.15">
      <c r="A7" s="40">
        <v>17</v>
      </c>
      <c r="B7" s="52" t="s">
        <v>74</v>
      </c>
      <c r="C7" s="45"/>
      <c r="D7" s="45" t="s">
        <v>67</v>
      </c>
      <c r="E7" s="39">
        <v>2000</v>
      </c>
      <c r="F7" s="18">
        <f t="shared" si="0"/>
        <v>2000</v>
      </c>
      <c r="G7" s="36">
        <f t="shared" si="1"/>
        <v>134</v>
      </c>
      <c r="H7" s="36">
        <v>3</v>
      </c>
      <c r="I7" s="36">
        <f t="shared" si="2"/>
        <v>2134</v>
      </c>
      <c r="J7" s="36">
        <f t="shared" si="9"/>
        <v>2536</v>
      </c>
      <c r="K7" s="19">
        <f t="shared" ref="K7:K8" si="22">IF(MID(D7,3,2)&lt;&gt;"城镇",ROUND((ROUND($V$1*0.6,0)+H7*ROUND(($V$1-$T$1)*0.6,0))*0.18,2),ROUND(J7*0.18,2))</f>
        <v>456.48</v>
      </c>
      <c r="L7" s="19">
        <f t="shared" si="10"/>
        <v>228.24</v>
      </c>
      <c r="M7" s="22">
        <f t="shared" si="11"/>
        <v>17.75</v>
      </c>
      <c r="N7" s="19">
        <f t="shared" si="12"/>
        <v>25.36</v>
      </c>
      <c r="O7" s="19">
        <f t="shared" si="13"/>
        <v>25.36</v>
      </c>
      <c r="P7" s="19">
        <f>ROUND(J7*0.08,2)</f>
        <v>202.88</v>
      </c>
      <c r="Q7" s="19">
        <f>ROUND(J7*0.02,2)</f>
        <v>50.72</v>
      </c>
      <c r="R7" s="19">
        <f t="shared" ref="R7:R14" si="23">ROUND(J7*0,2)</f>
        <v>0</v>
      </c>
      <c r="S7" s="19">
        <f t="shared" si="17"/>
        <v>12.68</v>
      </c>
      <c r="T7" s="19">
        <f t="shared" ref="T7" si="24">ROUND(J7*0,2)</f>
        <v>0</v>
      </c>
      <c r="U7" s="20"/>
      <c r="V7" s="20"/>
      <c r="W7" s="20">
        <f t="shared" ref="W7" si="25">SUM(K7:O7)</f>
        <v>753.19</v>
      </c>
      <c r="X7" s="20">
        <f t="shared" ref="X7" si="26">SUM(P7:T7)</f>
        <v>266.27999999999997</v>
      </c>
      <c r="Y7" s="20">
        <f t="shared" ref="Y7" si="27">SUM(W7:X7)</f>
        <v>1019.47</v>
      </c>
    </row>
    <row r="8" spans="1:27" s="21" customFormat="1" ht="17.25" customHeight="1" x14ac:dyDescent="0.15">
      <c r="A8" s="40">
        <v>18</v>
      </c>
      <c r="B8" s="52" t="s">
        <v>74</v>
      </c>
      <c r="C8" s="45"/>
      <c r="D8" s="45" t="s">
        <v>66</v>
      </c>
      <c r="E8" s="39">
        <v>1900</v>
      </c>
      <c r="F8" s="18">
        <f t="shared" ref="F8:F9" si="28">IF(E8&gt;=$T$1*3,$T$1*3,IF(E8&lt;=ROUND($T$1*0.6,0),ROUND($T$1*0.6,0),E8))</f>
        <v>1900</v>
      </c>
      <c r="G8" s="36">
        <f t="shared" ref="G8:G9" si="29">I8-F8</f>
        <v>234</v>
      </c>
      <c r="H8" s="36">
        <v>2</v>
      </c>
      <c r="I8" s="36">
        <f t="shared" ref="I8:I9" si="30">IF(E8&gt;=$V$1*3,$V$1*3,IF(E8&lt;=ROUND($V$1*0.6,0),ROUND($V$1*0.6,0),E8))</f>
        <v>2134</v>
      </c>
      <c r="J8" s="36">
        <f t="shared" ref="J8" si="31">I8+G8*H8</f>
        <v>2602</v>
      </c>
      <c r="K8" s="19">
        <f t="shared" si="22"/>
        <v>468.36</v>
      </c>
      <c r="L8" s="19">
        <f t="shared" ref="L8" si="32">ROUND(J8*$N$1,2)</f>
        <v>234.18</v>
      </c>
      <c r="M8" s="22">
        <f t="shared" si="11"/>
        <v>18.21</v>
      </c>
      <c r="N8" s="19">
        <f t="shared" ref="N8" si="33">ROUND(J8*0.01,2)</f>
        <v>26.02</v>
      </c>
      <c r="O8" s="19">
        <f t="shared" ref="O8" si="34">ROUND(J8*0.01,2)</f>
        <v>26.02</v>
      </c>
      <c r="P8" s="19">
        <f>ROUND(J8*0.08,2)</f>
        <v>208.16</v>
      </c>
      <c r="Q8" s="19">
        <f>ROUND(J8*0.02,2)</f>
        <v>52.04</v>
      </c>
      <c r="R8" s="19">
        <f t="shared" si="23"/>
        <v>0</v>
      </c>
      <c r="S8" s="19">
        <f t="shared" ref="S8:S9" si="35">IF(MID(D8,3,2)="农村",0,ROUND(J8*0.005,2))</f>
        <v>13.01</v>
      </c>
      <c r="T8" s="19">
        <f>ROUND(J8*0,2)</f>
        <v>0</v>
      </c>
      <c r="U8" s="20"/>
      <c r="V8" s="20"/>
      <c r="W8" s="20">
        <f>SUM(K8:O8)</f>
        <v>772.79</v>
      </c>
      <c r="X8" s="20">
        <f>SUM(P8:T8)</f>
        <v>273.20999999999998</v>
      </c>
      <c r="Y8" s="20">
        <f>SUM(W8:X8)</f>
        <v>1046</v>
      </c>
    </row>
    <row r="9" spans="1:27" s="21" customFormat="1" ht="17.25" customHeight="1" x14ac:dyDescent="0.15">
      <c r="A9" s="40">
        <v>18</v>
      </c>
      <c r="B9" s="50" t="s">
        <v>75</v>
      </c>
      <c r="C9" s="50"/>
      <c r="D9" s="50" t="s">
        <v>76</v>
      </c>
      <c r="E9" s="39">
        <v>1900</v>
      </c>
      <c r="F9" s="18">
        <f t="shared" si="28"/>
        <v>1900</v>
      </c>
      <c r="G9" s="36">
        <f t="shared" si="29"/>
        <v>234</v>
      </c>
      <c r="H9" s="36">
        <v>2</v>
      </c>
      <c r="I9" s="36">
        <f t="shared" si="30"/>
        <v>2134</v>
      </c>
      <c r="J9" s="36">
        <f t="shared" ref="J9:J16" si="36">G9*H9</f>
        <v>468</v>
      </c>
      <c r="K9" s="19">
        <v>0</v>
      </c>
      <c r="L9" s="19">
        <v>0</v>
      </c>
      <c r="M9" s="19">
        <v>0</v>
      </c>
      <c r="N9" s="19">
        <v>0</v>
      </c>
      <c r="O9" s="19">
        <v>0</v>
      </c>
      <c r="P9" s="19">
        <f>ROUND(J9*0.08,2)</f>
        <v>37.44</v>
      </c>
      <c r="Q9" s="19">
        <f>ROUND(J9*0.02,2)</f>
        <v>9.36</v>
      </c>
      <c r="R9" s="19">
        <f t="shared" si="23"/>
        <v>0</v>
      </c>
      <c r="S9" s="19">
        <f t="shared" si="35"/>
        <v>2.34</v>
      </c>
      <c r="T9" s="19">
        <f>ROUND(J9*0,2)</f>
        <v>0</v>
      </c>
      <c r="U9" s="20"/>
      <c r="V9" s="20"/>
      <c r="W9" s="20">
        <f>SUM(K9:O9)</f>
        <v>0</v>
      </c>
      <c r="X9" s="20">
        <f>SUM(P9:T9)</f>
        <v>49.14</v>
      </c>
      <c r="Y9" s="20">
        <f>SUM(W9:X9)</f>
        <v>49.14</v>
      </c>
    </row>
    <row r="10" spans="1:27" s="21" customFormat="1" ht="17.25" customHeight="1" x14ac:dyDescent="0.15">
      <c r="A10" s="40">
        <v>18</v>
      </c>
      <c r="B10" s="50" t="s">
        <v>75</v>
      </c>
      <c r="C10" s="50"/>
      <c r="D10" s="50" t="s">
        <v>76</v>
      </c>
      <c r="E10" s="39">
        <v>1900</v>
      </c>
      <c r="F10" s="18">
        <f t="shared" si="0"/>
        <v>1900</v>
      </c>
      <c r="G10" s="36">
        <f t="shared" si="1"/>
        <v>234</v>
      </c>
      <c r="H10" s="36">
        <v>2</v>
      </c>
      <c r="I10" s="36">
        <f t="shared" si="2"/>
        <v>2134</v>
      </c>
      <c r="J10" s="36">
        <f t="shared" si="36"/>
        <v>468</v>
      </c>
      <c r="K10" s="19">
        <v>0</v>
      </c>
      <c r="L10" s="19">
        <v>0</v>
      </c>
      <c r="M10" s="19">
        <v>0</v>
      </c>
      <c r="N10" s="19">
        <v>0</v>
      </c>
      <c r="O10" s="19">
        <v>0</v>
      </c>
      <c r="P10" s="19">
        <f>ROUND(J10*0.08,2)</f>
        <v>37.44</v>
      </c>
      <c r="Q10" s="19">
        <f>ROUND(J10*0.02,2)</f>
        <v>9.36</v>
      </c>
      <c r="R10" s="19">
        <f t="shared" si="23"/>
        <v>0</v>
      </c>
      <c r="S10" s="19">
        <f t="shared" si="17"/>
        <v>2.34</v>
      </c>
      <c r="T10" s="19">
        <f>ROUND(J10*0,2)</f>
        <v>0</v>
      </c>
      <c r="U10" s="20"/>
      <c r="V10" s="20"/>
      <c r="W10" s="20">
        <f>SUM(K10:O10)</f>
        <v>0</v>
      </c>
      <c r="X10" s="20">
        <f>SUM(P10:T10)</f>
        <v>49.14</v>
      </c>
      <c r="Y10" s="20">
        <f>SUM(W10:X10)</f>
        <v>49.14</v>
      </c>
    </row>
    <row r="11" spans="1:27" s="21" customFormat="1" ht="17.25" customHeight="1" x14ac:dyDescent="0.15">
      <c r="A11" s="40">
        <v>19</v>
      </c>
      <c r="B11" s="54" t="s">
        <v>80</v>
      </c>
      <c r="C11" s="51"/>
      <c r="D11" s="51" t="s">
        <v>77</v>
      </c>
      <c r="E11" s="39">
        <v>1870</v>
      </c>
      <c r="F11" s="18">
        <f t="shared" ref="F11:F12" si="37">IF(E11&gt;=$T$1*3,$T$1*3,IF(E11&lt;=ROUND($T$1*0.6,0),ROUND($T$1*0.6,0),E11))</f>
        <v>1870</v>
      </c>
      <c r="G11" s="36">
        <f t="shared" si="1"/>
        <v>264</v>
      </c>
      <c r="H11" s="36">
        <v>2</v>
      </c>
      <c r="I11" s="36">
        <f t="shared" si="2"/>
        <v>2134</v>
      </c>
      <c r="J11" s="36">
        <f t="shared" si="36"/>
        <v>528</v>
      </c>
      <c r="K11" s="19">
        <v>0</v>
      </c>
      <c r="L11" s="19">
        <v>0</v>
      </c>
      <c r="M11" s="19">
        <v>0</v>
      </c>
      <c r="N11" s="19">
        <v>0</v>
      </c>
      <c r="O11" s="19">
        <v>0</v>
      </c>
      <c r="P11" s="19">
        <f>ROUND(J11*0.2,2)</f>
        <v>105.6</v>
      </c>
      <c r="Q11" s="19">
        <f>ROUND(J11*0.11,2)</f>
        <v>58.08</v>
      </c>
      <c r="R11" s="19">
        <f t="shared" si="23"/>
        <v>0</v>
      </c>
      <c r="S11" s="19">
        <v>0</v>
      </c>
      <c r="T11" s="19">
        <f t="shared" ref="T11:T12" si="38">ROUND(J11*0,2)</f>
        <v>0</v>
      </c>
      <c r="U11" s="20"/>
      <c r="V11" s="20"/>
      <c r="W11" s="20">
        <f t="shared" ref="W11:W12" si="39">SUM(K11:O11)</f>
        <v>0</v>
      </c>
      <c r="X11" s="20">
        <f t="shared" ref="X11:X12" si="40">SUM(P11:T11)</f>
        <v>163.68</v>
      </c>
      <c r="Y11" s="20">
        <f t="shared" ref="Y11:Y12" si="41">SUM(W11:X11)</f>
        <v>163.68</v>
      </c>
    </row>
    <row r="12" spans="1:27" s="21" customFormat="1" ht="17.25" customHeight="1" x14ac:dyDescent="0.15">
      <c r="A12" s="40">
        <v>19</v>
      </c>
      <c r="B12" s="54" t="s">
        <v>80</v>
      </c>
      <c r="C12" s="51"/>
      <c r="D12" s="51" t="s">
        <v>77</v>
      </c>
      <c r="E12" s="39">
        <v>1870</v>
      </c>
      <c r="F12" s="18">
        <f t="shared" si="37"/>
        <v>1870</v>
      </c>
      <c r="G12" s="36">
        <f t="shared" ref="G12" si="42">I12-F12</f>
        <v>264</v>
      </c>
      <c r="H12" s="36">
        <v>2</v>
      </c>
      <c r="I12" s="36">
        <f t="shared" ref="I12" si="43">IF(E12&gt;=$V$1*3,$V$1*3,IF(E12&lt;=ROUND($V$1*0.6,0),ROUND($V$1*0.6,0),E12))</f>
        <v>2134</v>
      </c>
      <c r="J12" s="36">
        <f t="shared" si="36"/>
        <v>528</v>
      </c>
      <c r="K12" s="19">
        <v>0</v>
      </c>
      <c r="L12" s="19">
        <v>0</v>
      </c>
      <c r="M12" s="19">
        <v>0</v>
      </c>
      <c r="N12" s="19">
        <v>0</v>
      </c>
      <c r="O12" s="19">
        <v>0</v>
      </c>
      <c r="P12" s="19">
        <f>ROUND(J12*0.2,2)</f>
        <v>105.6</v>
      </c>
      <c r="Q12" s="19">
        <f>ROUND(J12*0.11,2)</f>
        <v>58.08</v>
      </c>
      <c r="R12" s="19">
        <f t="shared" si="23"/>
        <v>0</v>
      </c>
      <c r="S12" s="19">
        <v>0</v>
      </c>
      <c r="T12" s="19">
        <f t="shared" si="38"/>
        <v>0</v>
      </c>
      <c r="U12" s="20"/>
      <c r="V12" s="20"/>
      <c r="W12" s="20">
        <f t="shared" si="39"/>
        <v>0</v>
      </c>
      <c r="X12" s="20">
        <f t="shared" si="40"/>
        <v>163.68</v>
      </c>
      <c r="Y12" s="20">
        <f t="shared" si="41"/>
        <v>163.68</v>
      </c>
    </row>
    <row r="13" spans="1:27" s="21" customFormat="1" ht="17.25" customHeight="1" x14ac:dyDescent="0.15">
      <c r="A13" s="40">
        <v>19</v>
      </c>
      <c r="B13" s="54" t="s">
        <v>81</v>
      </c>
      <c r="C13" s="51"/>
      <c r="D13" s="51" t="s">
        <v>77</v>
      </c>
      <c r="E13" s="39">
        <v>1870</v>
      </c>
      <c r="F13" s="18">
        <f t="shared" si="0"/>
        <v>1870</v>
      </c>
      <c r="G13" s="36">
        <f t="shared" ref="G13" si="44">I13-F13</f>
        <v>264</v>
      </c>
      <c r="H13" s="36">
        <v>2</v>
      </c>
      <c r="I13" s="36">
        <f t="shared" ref="I13" si="45">IF(E13&gt;=$V$1*3,$V$1*3,IF(E13&lt;=ROUND($V$1*0.6,0),ROUND($V$1*0.6,0),E13))</f>
        <v>2134</v>
      </c>
      <c r="J13" s="36">
        <f t="shared" si="36"/>
        <v>528</v>
      </c>
      <c r="K13" s="19">
        <v>0</v>
      </c>
      <c r="L13" s="19">
        <v>0</v>
      </c>
      <c r="M13" s="19">
        <v>0</v>
      </c>
      <c r="N13" s="19">
        <v>0</v>
      </c>
      <c r="O13" s="19">
        <v>0</v>
      </c>
      <c r="P13" s="19">
        <f>ROUND(J13*0.2,2)</f>
        <v>105.6</v>
      </c>
      <c r="Q13" s="19">
        <f>ROUND(J13*0.09,2)</f>
        <v>47.52</v>
      </c>
      <c r="R13" s="19">
        <f t="shared" si="23"/>
        <v>0</v>
      </c>
      <c r="S13" s="19">
        <v>0</v>
      </c>
      <c r="T13" s="19">
        <f t="shared" ref="T13" si="46">ROUND(J13*0,2)</f>
        <v>0</v>
      </c>
      <c r="U13" s="20"/>
      <c r="V13" s="20"/>
      <c r="W13" s="20">
        <f t="shared" ref="W13" si="47">SUM(K13:O13)</f>
        <v>0</v>
      </c>
      <c r="X13" s="20">
        <f t="shared" ref="X13" si="48">SUM(P13:T13)</f>
        <v>153.12</v>
      </c>
      <c r="Y13" s="20">
        <f t="shared" ref="Y13" si="49">SUM(W13:X13)</f>
        <v>153.12</v>
      </c>
    </row>
    <row r="14" spans="1:27" s="21" customFormat="1" ht="17.25" customHeight="1" x14ac:dyDescent="0.15">
      <c r="A14" s="40">
        <v>19</v>
      </c>
      <c r="B14" s="54" t="s">
        <v>81</v>
      </c>
      <c r="C14" s="51"/>
      <c r="D14" s="51" t="s">
        <v>77</v>
      </c>
      <c r="E14" s="39">
        <v>1870</v>
      </c>
      <c r="F14" s="18">
        <f t="shared" ref="F14" si="50">IF(E14&gt;=$T$1*3,$T$1*3,IF(E14&lt;=ROUND($T$1*0.6,0),ROUND($T$1*0.6,0),E14))</f>
        <v>1870</v>
      </c>
      <c r="G14" s="36">
        <f t="shared" si="1"/>
        <v>264</v>
      </c>
      <c r="H14" s="36">
        <v>2</v>
      </c>
      <c r="I14" s="36">
        <f t="shared" si="2"/>
        <v>2134</v>
      </c>
      <c r="J14" s="36">
        <f t="shared" si="36"/>
        <v>528</v>
      </c>
      <c r="K14" s="19">
        <v>0</v>
      </c>
      <c r="L14" s="19">
        <v>0</v>
      </c>
      <c r="M14" s="19">
        <v>0</v>
      </c>
      <c r="N14" s="19">
        <v>0</v>
      </c>
      <c r="O14" s="19">
        <v>0</v>
      </c>
      <c r="P14" s="19">
        <f>ROUND(J14*0.2,2)</f>
        <v>105.6</v>
      </c>
      <c r="Q14" s="19">
        <f>ROUND(J14*0.09,2)</f>
        <v>47.52</v>
      </c>
      <c r="R14" s="19">
        <f t="shared" si="23"/>
        <v>0</v>
      </c>
      <c r="S14" s="19">
        <v>0</v>
      </c>
      <c r="T14" s="19">
        <f t="shared" ref="T14" si="51">ROUND(J14*0,2)</f>
        <v>0</v>
      </c>
      <c r="U14" s="20"/>
      <c r="V14" s="20"/>
      <c r="W14" s="20">
        <f t="shared" ref="W14" si="52">SUM(K14:O14)</f>
        <v>0</v>
      </c>
      <c r="X14" s="20">
        <f t="shared" ref="X14" si="53">SUM(P14:T14)</f>
        <v>153.12</v>
      </c>
      <c r="Y14" s="20">
        <f t="shared" ref="Y14" si="54">SUM(W14:X14)</f>
        <v>153.12</v>
      </c>
    </row>
    <row r="15" spans="1:27" s="21" customFormat="1" ht="17.25" customHeight="1" x14ac:dyDescent="0.15">
      <c r="A15" s="40">
        <v>19</v>
      </c>
      <c r="B15" s="44" t="s">
        <v>79</v>
      </c>
      <c r="C15" s="43"/>
      <c r="D15" s="43" t="s">
        <v>0</v>
      </c>
      <c r="E15" s="42">
        <v>1900</v>
      </c>
      <c r="F15" s="18">
        <f t="shared" si="0"/>
        <v>1900</v>
      </c>
      <c r="G15" s="36">
        <f t="shared" si="1"/>
        <v>234</v>
      </c>
      <c r="H15" s="36">
        <v>3</v>
      </c>
      <c r="I15" s="36">
        <f t="shared" si="2"/>
        <v>2134</v>
      </c>
      <c r="J15" s="36">
        <f t="shared" si="36"/>
        <v>702</v>
      </c>
      <c r="K15" s="19">
        <f>IF(MID(D15,3,2)&lt;&gt;"城镇",ROUND((H15*ROUND(($V$1-$T$1)*0.6,0))*0.18,2),ROUND(J15*0.18,2))</f>
        <v>126.36</v>
      </c>
      <c r="L15" s="19">
        <f t="shared" ref="L15:L16" si="55">ROUND(J15*$N$1,2)</f>
        <v>63.18</v>
      </c>
      <c r="M15" s="22">
        <f>IF(MID(D15,3,2)&lt;&gt;"城镇",ROUND((H15*ROUND(($V$1-$T$1)*0.6,0))*$Q$1,2),ROUND(J15*$Q$1,2))</f>
        <v>4.91</v>
      </c>
      <c r="N15" s="19">
        <f t="shared" si="12"/>
        <v>7.02</v>
      </c>
      <c r="O15" s="19">
        <f t="shared" ref="O15:O16" si="56">ROUND(J15*0.01,2)</f>
        <v>7.02</v>
      </c>
      <c r="P15" s="19">
        <f t="shared" ref="P15:P16" si="57">ROUND(J15*0.08,2)</f>
        <v>56.16</v>
      </c>
      <c r="Q15" s="19">
        <f t="shared" ref="Q15:Q16" si="58">ROUND(J15*0.02,2)</f>
        <v>14.04</v>
      </c>
      <c r="R15" s="19">
        <f t="shared" ref="R15:R16" si="59">ROUND(J15*0,2)</f>
        <v>0</v>
      </c>
      <c r="S15" s="19">
        <f t="shared" ref="S15:S16" si="60">IF(MID(D15,3,2)="农村",0,ROUND(J15*0.005,2))</f>
        <v>3.51</v>
      </c>
      <c r="T15" s="19">
        <f t="shared" ref="T15:T16" si="61">ROUND(J15*0,2)</f>
        <v>0</v>
      </c>
      <c r="U15" s="20"/>
      <c r="V15" s="20"/>
      <c r="W15" s="20">
        <f t="shared" si="19"/>
        <v>208.49</v>
      </c>
      <c r="X15" s="20">
        <f t="shared" si="20"/>
        <v>73.709999999999994</v>
      </c>
      <c r="Y15" s="20">
        <f t="shared" si="21"/>
        <v>282.2</v>
      </c>
    </row>
    <row r="16" spans="1:27" s="21" customFormat="1" ht="17.25" customHeight="1" x14ac:dyDescent="0.15">
      <c r="A16" s="37">
        <v>20</v>
      </c>
      <c r="B16" s="44" t="s">
        <v>78</v>
      </c>
      <c r="C16" s="43"/>
      <c r="D16" s="43" t="s">
        <v>65</v>
      </c>
      <c r="E16" s="42">
        <v>1900</v>
      </c>
      <c r="F16" s="18">
        <f t="shared" si="0"/>
        <v>1900</v>
      </c>
      <c r="G16" s="36">
        <f t="shared" si="1"/>
        <v>234</v>
      </c>
      <c r="H16" s="36">
        <v>3</v>
      </c>
      <c r="I16" s="36">
        <f t="shared" si="2"/>
        <v>2134</v>
      </c>
      <c r="J16" s="36">
        <f t="shared" si="36"/>
        <v>702</v>
      </c>
      <c r="K16" s="19">
        <f>IF(MID(D16,3,2)&lt;&gt;"城镇",ROUND((H16*ROUND(($V$1-$T$1)*0.6,0))*0.18,2),ROUND(J16*0.18,2))</f>
        <v>142.56</v>
      </c>
      <c r="L16" s="19">
        <f t="shared" si="55"/>
        <v>63.18</v>
      </c>
      <c r="M16" s="22">
        <f>IF(MID(D16,3,2)&lt;&gt;"城镇",ROUND((H16*ROUND(($V$1-$T$1)*0.6,0))*$Q$1,2),ROUND(J16*$Q$1,2))</f>
        <v>5.54</v>
      </c>
      <c r="N16" s="19">
        <f t="shared" si="12"/>
        <v>7.02</v>
      </c>
      <c r="O16" s="19">
        <f t="shared" si="56"/>
        <v>7.02</v>
      </c>
      <c r="P16" s="19">
        <f t="shared" si="57"/>
        <v>56.16</v>
      </c>
      <c r="Q16" s="19">
        <f t="shared" si="58"/>
        <v>14.04</v>
      </c>
      <c r="R16" s="19">
        <f t="shared" si="59"/>
        <v>0</v>
      </c>
      <c r="S16" s="19">
        <f t="shared" si="60"/>
        <v>0</v>
      </c>
      <c r="T16" s="19">
        <f t="shared" si="61"/>
        <v>0</v>
      </c>
      <c r="U16" s="20"/>
      <c r="V16" s="20"/>
      <c r="W16" s="20">
        <f>SUM(K16:O16)</f>
        <v>225.32000000000002</v>
      </c>
      <c r="X16" s="20">
        <f>SUM(P16:T16)</f>
        <v>70.199999999999989</v>
      </c>
      <c r="Y16" s="20">
        <f>SUM(W16:X16)</f>
        <v>295.52</v>
      </c>
    </row>
    <row r="17" spans="1:25" s="21" customFormat="1" ht="17.25" customHeight="1" x14ac:dyDescent="0.15">
      <c r="A17" s="17"/>
      <c r="B17" s="55" t="s">
        <v>53</v>
      </c>
      <c r="C17" s="56"/>
      <c r="D17" s="56"/>
      <c r="E17" s="56"/>
      <c r="F17" s="57"/>
      <c r="G17" s="23"/>
      <c r="H17" s="23"/>
      <c r="I17" s="23"/>
      <c r="J17" s="23"/>
      <c r="K17" s="24">
        <f t="shared" ref="K17:Y17" si="62">SUM(K5:K16)</f>
        <v>2410.2000000000003</v>
      </c>
      <c r="L17" s="24">
        <f t="shared" si="62"/>
        <v>1197.0000000000002</v>
      </c>
      <c r="M17" s="24">
        <f t="shared" si="62"/>
        <v>93.720000000000013</v>
      </c>
      <c r="N17" s="24">
        <f t="shared" si="62"/>
        <v>133</v>
      </c>
      <c r="O17" s="24">
        <f t="shared" si="62"/>
        <v>133</v>
      </c>
      <c r="P17" s="24">
        <f t="shared" si="62"/>
        <v>1561.2799999999997</v>
      </c>
      <c r="Q17" s="24">
        <f t="shared" si="62"/>
        <v>495.91999999999996</v>
      </c>
      <c r="R17" s="24">
        <f t="shared" si="62"/>
        <v>0</v>
      </c>
      <c r="S17" s="24">
        <f t="shared" si="62"/>
        <v>67.67</v>
      </c>
      <c r="T17" s="24">
        <f t="shared" si="62"/>
        <v>0</v>
      </c>
      <c r="U17" s="24">
        <f t="shared" si="62"/>
        <v>0</v>
      </c>
      <c r="V17" s="24">
        <f t="shared" si="62"/>
        <v>0</v>
      </c>
      <c r="W17" s="24">
        <f t="shared" si="62"/>
        <v>3966.9199999999996</v>
      </c>
      <c r="X17" s="24">
        <f t="shared" si="62"/>
        <v>2124.87</v>
      </c>
      <c r="Y17" s="24">
        <f t="shared" si="62"/>
        <v>6091.7900000000009</v>
      </c>
    </row>
    <row r="19" spans="1:25" ht="17.25" customHeight="1" x14ac:dyDescent="0.15">
      <c r="C19" s="6"/>
      <c r="K19" s="49"/>
      <c r="L19" s="49"/>
      <c r="M19" s="49"/>
      <c r="N19" s="49"/>
      <c r="O19" s="49"/>
      <c r="P19" s="49"/>
      <c r="Q19" s="49"/>
      <c r="R19" s="49"/>
      <c r="S19" s="49"/>
    </row>
  </sheetData>
  <sheetProtection formatCells="0" formatColumns="0" formatRows="0" insertColumns="0" insertRows="0" deleteColumns="0" deleteRows="0" selectLockedCells="1" sort="0" autoFilter="0"/>
  <protectedRanges>
    <protectedRange sqref="F5:J16" name="区域1"/>
    <protectedRange sqref="A15:A16 A5:D5 A6:B6 B15 A7:E14" name="区域1_4"/>
    <protectedRange sqref="C6" name="区域1_2_2"/>
    <protectedRange sqref="E5:E6" name="区域1_3_1"/>
    <protectedRange sqref="B16:E16" name="区域1_1"/>
    <protectedRange sqref="C15:E15" name="区域1_2"/>
  </protectedRanges>
  <mergeCells count="17">
    <mergeCell ref="A2:A4"/>
    <mergeCell ref="B2:B4"/>
    <mergeCell ref="C1:D1"/>
    <mergeCell ref="F3:F4"/>
    <mergeCell ref="E3:E4"/>
    <mergeCell ref="D3:D4"/>
    <mergeCell ref="C3:C4"/>
    <mergeCell ref="B17:F17"/>
    <mergeCell ref="C2:F2"/>
    <mergeCell ref="K3:O3"/>
    <mergeCell ref="P3:T3"/>
    <mergeCell ref="W2:Y3"/>
    <mergeCell ref="U3:U4"/>
    <mergeCell ref="V3:V4"/>
    <mergeCell ref="U2:V2"/>
    <mergeCell ref="K2:T2"/>
    <mergeCell ref="G3:H3"/>
  </mergeCells>
  <phoneticPr fontId="12" type="noConversion"/>
  <dataValidations count="6">
    <dataValidation type="whole" operator="greaterThan" allowBlank="1" showInputMessage="1" showErrorMessage="1" errorTitle="缴费工资应大于零" error="请确认职工缴费工资基数，上一年月均收入应大于等于零。" sqref="E18:E65528 E3 E6:E14">
      <formula1>0</formula1>
    </dataValidation>
    <dataValidation type="list" allowBlank="1" showInputMessage="1" showErrorMessage="1" promptTitle="本市城镇" sqref="D5 D7:D16">
      <formula1>"本市城镇,本市农村,外来城镇,外来农村,本区城乡,"</formula1>
    </dataValidation>
    <dataValidation type="list" allowBlank="1" showInputMessage="1" showErrorMessage="1" sqref="D18">
      <formula1>#REF!</formula1>
    </dataValidation>
    <dataValidation type="list" allowBlank="1" showInputMessage="1" showErrorMessage="1" sqref="Q1">
      <formula1>"0.7%,1.2%,1.8%"</formula1>
    </dataValidation>
    <dataValidation type="list" allowBlank="1" showInputMessage="1" showErrorMessage="1" sqref="M1">
      <formula1>"市南区,市北区,李沧区,崂山区,城阳区,黄岛区,胶州市,即墨市,平度市,莱西市"</formula1>
    </dataValidation>
    <dataValidation type="list" allowBlank="1" showInputMessage="1" showErrorMessage="1" sqref="D6">
      <formula1>"本市城镇,本市农业,外来城镇,外来农村"</formula1>
    </dataValidation>
  </dataValidations>
  <pageMargins left="0.15748031496062992" right="0.15748031496062992" top="0.59055118110236227" bottom="0.59055118110236227" header="0.51181102362204722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K16"/>
  <sheetViews>
    <sheetView workbookViewId="0">
      <selection activeCell="G24" sqref="G24"/>
    </sheetView>
  </sheetViews>
  <sheetFormatPr defaultRowHeight="14.25" x14ac:dyDescent="0.15"/>
  <cols>
    <col min="1" max="1" width="11.75" customWidth="1"/>
    <col min="2" max="2" width="10.75" bestFit="1" customWidth="1"/>
  </cols>
  <sheetData>
    <row r="1" spans="1:11" ht="22.5" x14ac:dyDescent="0.15">
      <c r="A1" s="78" t="s">
        <v>1</v>
      </c>
      <c r="B1" s="78"/>
      <c r="C1" s="78"/>
      <c r="D1" s="78"/>
      <c r="E1" s="78"/>
      <c r="F1" s="78"/>
      <c r="G1" s="78"/>
      <c r="H1" s="78"/>
      <c r="I1" s="78"/>
    </row>
    <row r="2" spans="1:11" ht="17.25" customHeight="1" x14ac:dyDescent="0.15">
      <c r="A2" s="26"/>
      <c r="B2" s="26"/>
      <c r="C2" s="26"/>
      <c r="D2" s="26"/>
      <c r="E2" s="26"/>
      <c r="F2" s="26"/>
      <c r="G2" s="26"/>
      <c r="H2" s="26"/>
      <c r="I2" s="26"/>
    </row>
    <row r="3" spans="1:11" s="28" customFormat="1" ht="18" customHeight="1" x14ac:dyDescent="0.15">
      <c r="A3" s="27" t="s">
        <v>54</v>
      </c>
      <c r="B3" s="79">
        <f>'6月明细'!C1</f>
        <v>3702</v>
      </c>
      <c r="C3" s="79"/>
      <c r="D3" s="27" t="s">
        <v>55</v>
      </c>
      <c r="E3" s="80" t="str">
        <f>说明!B3</f>
        <v>青岛XX服务有限公司</v>
      </c>
      <c r="F3" s="79"/>
      <c r="G3" s="79"/>
      <c r="H3" s="27" t="s">
        <v>56</v>
      </c>
      <c r="I3" s="27" t="s">
        <v>57</v>
      </c>
    </row>
    <row r="4" spans="1:11" ht="18" customHeight="1" x14ac:dyDescent="0.15">
      <c r="A4" s="29"/>
    </row>
    <row r="5" spans="1:11" ht="18" customHeight="1" x14ac:dyDescent="0.15">
      <c r="A5" s="30" t="s">
        <v>2</v>
      </c>
      <c r="B5" s="30" t="s">
        <v>3</v>
      </c>
      <c r="C5" s="30" t="s">
        <v>4</v>
      </c>
      <c r="D5" s="30" t="s">
        <v>5</v>
      </c>
      <c r="E5" s="30" t="s">
        <v>6</v>
      </c>
      <c r="F5" s="30" t="s">
        <v>7</v>
      </c>
      <c r="G5" s="30" t="s">
        <v>8</v>
      </c>
      <c r="H5" s="30" t="s">
        <v>9</v>
      </c>
      <c r="I5" s="30" t="s">
        <v>10</v>
      </c>
    </row>
    <row r="6" spans="1:11" ht="18" customHeight="1" x14ac:dyDescent="0.15">
      <c r="A6" s="30" t="s">
        <v>11</v>
      </c>
      <c r="B6" s="30">
        <f>'6月明细'!F1</f>
        <v>201406</v>
      </c>
      <c r="C6" s="30">
        <f>B6</f>
        <v>201406</v>
      </c>
      <c r="D6" s="30">
        <f>COUNT('6月明细'!A5:A17)</f>
        <v>12</v>
      </c>
      <c r="E6" s="30">
        <f>'6月明细'!K17</f>
        <v>2410.2000000000003</v>
      </c>
      <c r="F6" s="30">
        <f>'6月明细'!P17</f>
        <v>1561.2799999999997</v>
      </c>
      <c r="G6" s="30">
        <f>'6月明细'!U15</f>
        <v>0</v>
      </c>
      <c r="H6" s="30">
        <f>'6月明细'!V15</f>
        <v>0</v>
      </c>
      <c r="I6" s="30">
        <f t="shared" ref="I6:I12" si="0">SUM(E6:H6)</f>
        <v>3971.48</v>
      </c>
    </row>
    <row r="7" spans="1:11" ht="18" customHeight="1" x14ac:dyDescent="0.15">
      <c r="A7" s="30" t="s">
        <v>12</v>
      </c>
      <c r="B7" s="30">
        <f t="shared" ref="B7:D10" si="1">B6</f>
        <v>201406</v>
      </c>
      <c r="C7" s="30">
        <f t="shared" si="1"/>
        <v>201406</v>
      </c>
      <c r="D7" s="30">
        <f t="shared" si="1"/>
        <v>12</v>
      </c>
      <c r="E7" s="30">
        <f>'6月明细'!L17</f>
        <v>1197.0000000000002</v>
      </c>
      <c r="F7" s="30">
        <f>'6月明细'!Q17</f>
        <v>495.91999999999996</v>
      </c>
      <c r="G7" s="30">
        <v>0</v>
      </c>
      <c r="H7" s="30">
        <v>0</v>
      </c>
      <c r="I7" s="30">
        <f t="shared" si="0"/>
        <v>1692.92</v>
      </c>
    </row>
    <row r="8" spans="1:11" ht="18" customHeight="1" x14ac:dyDescent="0.15">
      <c r="A8" s="30" t="s">
        <v>13</v>
      </c>
      <c r="B8" s="30">
        <f t="shared" si="1"/>
        <v>201406</v>
      </c>
      <c r="C8" s="30">
        <f t="shared" si="1"/>
        <v>201406</v>
      </c>
      <c r="D8" s="30">
        <f t="shared" si="1"/>
        <v>12</v>
      </c>
      <c r="E8" s="48">
        <f>'6月明细'!N17</f>
        <v>133</v>
      </c>
      <c r="F8" s="30">
        <f>'6月明细'!S17</f>
        <v>67.67</v>
      </c>
      <c r="G8" s="30">
        <v>0</v>
      </c>
      <c r="H8" s="30">
        <v>0</v>
      </c>
      <c r="I8" s="30">
        <f t="shared" si="0"/>
        <v>200.67000000000002</v>
      </c>
    </row>
    <row r="9" spans="1:11" ht="18" customHeight="1" x14ac:dyDescent="0.15">
      <c r="A9" s="30" t="s">
        <v>14</v>
      </c>
      <c r="B9" s="30">
        <f t="shared" si="1"/>
        <v>201406</v>
      </c>
      <c r="C9" s="30">
        <f t="shared" si="1"/>
        <v>201406</v>
      </c>
      <c r="D9" s="30">
        <f t="shared" si="1"/>
        <v>12</v>
      </c>
      <c r="E9" s="30">
        <f>'6月明细'!M17</f>
        <v>93.720000000000013</v>
      </c>
      <c r="F9" s="30">
        <f>'6月明细'!R17</f>
        <v>0</v>
      </c>
      <c r="G9" s="30">
        <v>0</v>
      </c>
      <c r="H9" s="30">
        <v>0</v>
      </c>
      <c r="I9" s="30">
        <f t="shared" si="0"/>
        <v>93.720000000000013</v>
      </c>
    </row>
    <row r="10" spans="1:11" ht="18" customHeight="1" x14ac:dyDescent="0.15">
      <c r="A10" s="30" t="s">
        <v>15</v>
      </c>
      <c r="B10" s="30">
        <f t="shared" si="1"/>
        <v>201406</v>
      </c>
      <c r="C10" s="30">
        <f t="shared" si="1"/>
        <v>201406</v>
      </c>
      <c r="D10" s="30">
        <f t="shared" si="1"/>
        <v>12</v>
      </c>
      <c r="E10" s="48">
        <f>'6月明细'!O17</f>
        <v>133</v>
      </c>
      <c r="F10" s="30">
        <f>'6月明细'!T17</f>
        <v>0</v>
      </c>
      <c r="G10" s="30">
        <v>0</v>
      </c>
      <c r="H10" s="30">
        <v>0</v>
      </c>
      <c r="I10" s="30">
        <f t="shared" si="0"/>
        <v>133</v>
      </c>
    </row>
    <row r="11" spans="1:11" ht="18" customHeight="1" x14ac:dyDescent="0.15">
      <c r="A11" s="30" t="s">
        <v>16</v>
      </c>
      <c r="B11" s="30">
        <f>B10</f>
        <v>201406</v>
      </c>
      <c r="C11" s="30">
        <f>C10</f>
        <v>201406</v>
      </c>
      <c r="D11" s="30">
        <v>0</v>
      </c>
      <c r="E11" s="30">
        <v>0</v>
      </c>
      <c r="F11" s="30">
        <v>0</v>
      </c>
      <c r="G11" s="30">
        <v>0</v>
      </c>
      <c r="H11" s="30">
        <v>0</v>
      </c>
      <c r="I11" s="30">
        <f t="shared" si="0"/>
        <v>0</v>
      </c>
    </row>
    <row r="12" spans="1:11" ht="18" customHeight="1" x14ac:dyDescent="0.15">
      <c r="A12" s="30" t="s">
        <v>17</v>
      </c>
      <c r="B12" s="30">
        <f>B11</f>
        <v>201406</v>
      </c>
      <c r="C12" s="30">
        <f>C11</f>
        <v>201406</v>
      </c>
      <c r="D12" s="30">
        <v>0</v>
      </c>
      <c r="E12" s="30">
        <v>0</v>
      </c>
      <c r="F12" s="30">
        <v>0</v>
      </c>
      <c r="G12" s="30">
        <v>0</v>
      </c>
      <c r="H12" s="30">
        <v>0</v>
      </c>
      <c r="I12" s="30">
        <f t="shared" si="0"/>
        <v>0</v>
      </c>
    </row>
    <row r="13" spans="1:11" ht="18" customHeight="1" x14ac:dyDescent="0.15">
      <c r="A13" s="30"/>
      <c r="B13" s="30"/>
      <c r="C13" s="30"/>
      <c r="D13" s="30"/>
      <c r="E13" s="30"/>
      <c r="F13" s="30"/>
      <c r="G13" s="30"/>
      <c r="H13" s="30"/>
      <c r="I13" s="30"/>
    </row>
    <row r="14" spans="1:11" ht="18" customHeight="1" x14ac:dyDescent="0.15">
      <c r="A14" s="31" t="s">
        <v>58</v>
      </c>
      <c r="B14" s="30"/>
      <c r="C14" s="30"/>
      <c r="D14" s="30"/>
      <c r="E14" s="30">
        <f>SUM(E6:E13)</f>
        <v>3966.9200000000005</v>
      </c>
      <c r="F14" s="30">
        <f>SUM(F6:F13)</f>
        <v>2124.87</v>
      </c>
      <c r="G14" s="30">
        <f>SUM(G6:G13)</f>
        <v>0</v>
      </c>
      <c r="H14" s="30">
        <f>SUM(H6:H13)</f>
        <v>0</v>
      </c>
      <c r="I14" s="32">
        <f>SUM(I6:I13)</f>
        <v>6091.79</v>
      </c>
    </row>
    <row r="16" spans="1:11" ht="18" customHeight="1" x14ac:dyDescent="0.15">
      <c r="A16" s="81" t="s">
        <v>69</v>
      </c>
      <c r="B16" s="81"/>
      <c r="C16" s="81"/>
      <c r="D16" s="81"/>
      <c r="E16" s="81"/>
      <c r="F16" s="81"/>
      <c r="G16" s="81"/>
      <c r="H16" s="81"/>
      <c r="I16" s="81"/>
      <c r="J16" s="81"/>
      <c r="K16" s="81"/>
    </row>
  </sheetData>
  <mergeCells count="4">
    <mergeCell ref="A1:I1"/>
    <mergeCell ref="B3:C3"/>
    <mergeCell ref="E3:G3"/>
    <mergeCell ref="A16:K16"/>
  </mergeCells>
  <phoneticPr fontId="3" type="noConversion"/>
  <pageMargins left="0.75" right="0.75" top="1" bottom="1" header="0.5" footer="0.5"/>
  <pageSetup paperSize="9" orientation="portrait" horizontalDpi="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说明</vt:lpstr>
      <vt:lpstr>6月明细</vt:lpstr>
      <vt:lpstr>6月缴费单</vt:lpstr>
    </vt:vector>
  </TitlesOfParts>
  <Company>MSCD龙帝国技术社区 Htpp://Bbs.Mscode.Cc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青岛社保服务网</cp:lastModifiedBy>
  <dcterms:created xsi:type="dcterms:W3CDTF">2012-04-18T05:58:50Z</dcterms:created>
  <dcterms:modified xsi:type="dcterms:W3CDTF">2014-06-26T06:34:24Z</dcterms:modified>
</cp:coreProperties>
</file>